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y.BESTAX.000\Desktop\"/>
    </mc:Choice>
  </mc:AlternateContent>
  <xr:revisionPtr revIDLastSave="0" documentId="13_ncr:1_{FF765071-973F-4A26-A1C6-237FD4C047A3}" xr6:coauthVersionLast="45" xr6:coauthVersionMax="45" xr10:uidLastSave="{00000000-0000-0000-0000-000000000000}"/>
  <bookViews>
    <workbookView xWindow="-120" yWindow="-120" windowWidth="29040" windowHeight="15840" xr2:uid="{4E939A29-FF9A-4AE8-969E-5ABB920AADA2}"/>
  </bookViews>
  <sheets>
    <sheet name="Social Security" sheetId="1" r:id="rId1"/>
  </sheets>
  <externalReferences>
    <externalReference r:id="rId2"/>
  </externalReferences>
  <definedNames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F6" i="1"/>
  <c r="I6" i="1" s="1"/>
  <c r="G6" i="1" l="1"/>
  <c r="F7" i="1"/>
  <c r="C16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M6" i="1"/>
  <c r="P6" i="1"/>
  <c r="M7" i="1"/>
  <c r="P7" i="1"/>
  <c r="P8" i="1"/>
  <c r="M9" i="1"/>
  <c r="P9" i="1"/>
  <c r="M10" i="1"/>
  <c r="P10" i="1"/>
  <c r="P11" i="1"/>
  <c r="P12" i="1"/>
  <c r="P13" i="1"/>
  <c r="P14" i="1"/>
  <c r="P15" i="1"/>
  <c r="P16" i="1"/>
  <c r="M23" i="1"/>
  <c r="M24" i="1"/>
  <c r="M26" i="1"/>
  <c r="M27" i="1"/>
  <c r="F8" i="1" l="1"/>
  <c r="I7" i="1"/>
  <c r="G7" i="1"/>
  <c r="B20" i="1"/>
  <c r="H8" i="1"/>
  <c r="H6" i="1"/>
  <c r="H7" i="1"/>
  <c r="D32" i="1"/>
  <c r="C32" i="1"/>
  <c r="C27" i="1"/>
  <c r="D27" i="1"/>
  <c r="I8" i="1" l="1"/>
  <c r="F9" i="1"/>
  <c r="G8" i="1"/>
  <c r="G9" i="1" l="1"/>
  <c r="I9" i="1"/>
  <c r="F10" i="1"/>
  <c r="H9" i="1"/>
  <c r="F11" i="1" l="1"/>
  <c r="G10" i="1"/>
  <c r="I10" i="1"/>
  <c r="H10" i="1"/>
  <c r="F12" i="1" l="1"/>
  <c r="G11" i="1"/>
  <c r="I11" i="1"/>
  <c r="H11" i="1"/>
  <c r="F13" i="1" l="1"/>
  <c r="I12" i="1"/>
  <c r="G12" i="1"/>
  <c r="H12" i="1"/>
  <c r="F14" i="1" l="1"/>
  <c r="G13" i="1"/>
  <c r="I13" i="1"/>
  <c r="H13" i="1"/>
  <c r="F15" i="1" l="1"/>
  <c r="G14" i="1"/>
  <c r="I14" i="1"/>
  <c r="H14" i="1"/>
  <c r="F16" i="1" l="1"/>
  <c r="G15" i="1"/>
  <c r="I15" i="1"/>
  <c r="H15" i="1"/>
  <c r="F17" i="1" l="1"/>
  <c r="I16" i="1"/>
  <c r="G16" i="1"/>
  <c r="H16" i="1"/>
  <c r="F18" i="1" l="1"/>
  <c r="G17" i="1"/>
  <c r="I17" i="1"/>
  <c r="H17" i="1"/>
  <c r="F19" i="1" l="1"/>
  <c r="G18" i="1"/>
  <c r="I18" i="1"/>
  <c r="H18" i="1"/>
  <c r="F20" i="1" l="1"/>
  <c r="I19" i="1"/>
  <c r="G19" i="1"/>
  <c r="H19" i="1"/>
  <c r="F21" i="1" l="1"/>
  <c r="I20" i="1"/>
  <c r="G20" i="1"/>
  <c r="H20" i="1"/>
  <c r="F22" i="1" l="1"/>
  <c r="G21" i="1"/>
  <c r="I21" i="1"/>
  <c r="H21" i="1"/>
  <c r="F23" i="1" l="1"/>
  <c r="G22" i="1"/>
  <c r="I22" i="1"/>
  <c r="H22" i="1"/>
  <c r="F24" i="1" l="1"/>
  <c r="G23" i="1"/>
  <c r="I23" i="1"/>
  <c r="H23" i="1"/>
  <c r="F25" i="1" l="1"/>
  <c r="I24" i="1"/>
  <c r="G24" i="1"/>
  <c r="H24" i="1"/>
  <c r="F26" i="1" l="1"/>
  <c r="G25" i="1"/>
  <c r="I25" i="1"/>
  <c r="H25" i="1"/>
  <c r="F27" i="1" l="1"/>
  <c r="G26" i="1"/>
  <c r="I26" i="1"/>
  <c r="H26" i="1"/>
  <c r="F28" i="1" l="1"/>
  <c r="I27" i="1"/>
  <c r="G27" i="1"/>
  <c r="H27" i="1"/>
  <c r="F29" i="1" l="1"/>
  <c r="I28" i="1"/>
  <c r="G28" i="1"/>
  <c r="H28" i="1"/>
  <c r="F30" i="1" l="1"/>
  <c r="G29" i="1"/>
  <c r="I29" i="1"/>
  <c r="H29" i="1"/>
  <c r="F31" i="1" l="1"/>
  <c r="G30" i="1"/>
  <c r="I30" i="1"/>
  <c r="H30" i="1"/>
  <c r="F32" i="1" l="1"/>
  <c r="G31" i="1"/>
  <c r="I31" i="1"/>
  <c r="H31" i="1"/>
  <c r="F33" i="1" l="1"/>
  <c r="I32" i="1"/>
  <c r="G32" i="1"/>
  <c r="H32" i="1"/>
  <c r="F34" i="1" l="1"/>
  <c r="G33" i="1"/>
  <c r="I33" i="1"/>
  <c r="H33" i="1"/>
  <c r="F35" i="1" l="1"/>
  <c r="G34" i="1"/>
  <c r="I34" i="1"/>
  <c r="H34" i="1"/>
  <c r="F36" i="1" l="1"/>
  <c r="I35" i="1"/>
  <c r="G35" i="1"/>
  <c r="H35" i="1"/>
  <c r="F37" i="1" l="1"/>
  <c r="I36" i="1"/>
  <c r="G36" i="1"/>
  <c r="H36" i="1"/>
  <c r="F38" i="1" l="1"/>
  <c r="G37" i="1"/>
  <c r="I37" i="1"/>
  <c r="H37" i="1"/>
  <c r="F39" i="1" l="1"/>
  <c r="G38" i="1"/>
  <c r="I38" i="1"/>
  <c r="H38" i="1"/>
  <c r="F40" i="1" l="1"/>
  <c r="G39" i="1"/>
  <c r="I39" i="1"/>
  <c r="H39" i="1"/>
  <c r="F41" i="1" l="1"/>
  <c r="I40" i="1"/>
  <c r="G40" i="1"/>
  <c r="H40" i="1"/>
  <c r="F42" i="1" l="1"/>
  <c r="G41" i="1"/>
  <c r="I41" i="1"/>
  <c r="H41" i="1"/>
  <c r="F43" i="1" l="1"/>
  <c r="G42" i="1"/>
  <c r="I42" i="1"/>
  <c r="H42" i="1"/>
  <c r="I43" i="1" l="1"/>
  <c r="G43" i="1"/>
  <c r="H43" i="1"/>
</calcChain>
</file>

<file path=xl/sharedStrings.xml><?xml version="1.0" encoding="utf-8"?>
<sst xmlns="http://schemas.openxmlformats.org/spreadsheetml/2006/main" count="57" uniqueCount="48">
  <si>
    <t>66 and 10 months</t>
  </si>
  <si>
    <t>66 and 8 months</t>
  </si>
  <si>
    <t>66 and 6 months</t>
  </si>
  <si>
    <t>66 and 4 months</t>
  </si>
  <si>
    <t>66 and 2 months</t>
  </si>
  <si>
    <t>Late Retirement</t>
  </si>
  <si>
    <t>Amount Received at Crossover</t>
  </si>
  <si>
    <t>Age at Crossover</t>
  </si>
  <si>
    <t>If you retired regular…</t>
  </si>
  <si>
    <t>11 months</t>
  </si>
  <si>
    <t>Regular Retirement</t>
  </si>
  <si>
    <t>10 months</t>
  </si>
  <si>
    <t>If you retired early…</t>
  </si>
  <si>
    <t>9 months</t>
  </si>
  <si>
    <t>8 months</t>
  </si>
  <si>
    <t>7 months</t>
  </si>
  <si>
    <t>6 months</t>
  </si>
  <si>
    <t>5 months</t>
  </si>
  <si>
    <t>65 &amp; 10 months</t>
  </si>
  <si>
    <t>At age 70</t>
  </si>
  <si>
    <t>4 months</t>
  </si>
  <si>
    <t>65 &amp; 8 months</t>
  </si>
  <si>
    <t>3 months</t>
  </si>
  <si>
    <t>65 &amp; 6 months</t>
  </si>
  <si>
    <t>At age 62</t>
  </si>
  <si>
    <t>2 months</t>
  </si>
  <si>
    <t>65 &amp; 4 months</t>
  </si>
  <si>
    <t>Monthly Retirement Benefits</t>
  </si>
  <si>
    <t>1 month</t>
  </si>
  <si>
    <t>65 &amp; 2 months</t>
  </si>
  <si>
    <t>0 months</t>
  </si>
  <si>
    <t>Full Retirement Age</t>
  </si>
  <si>
    <t>Months</t>
  </si>
  <si>
    <t>Retirement Age</t>
  </si>
  <si>
    <t>Year</t>
  </si>
  <si>
    <t>Year of Birth</t>
  </si>
  <si>
    <t>Current Age</t>
  </si>
  <si>
    <t>Expected Death</t>
  </si>
  <si>
    <t>Male</t>
  </si>
  <si>
    <t>Female</t>
  </si>
  <si>
    <t>Early Retirement</t>
  </si>
  <si>
    <t>Age</t>
  </si>
  <si>
    <t>Instructions</t>
  </si>
  <si>
    <t>Social Security Benefits Calculator</t>
  </si>
  <si>
    <t>4. Wherever it is highlighted in the table on the right is where you will have received the most amount of money at that age.</t>
  </si>
  <si>
    <t>3. The numbers in the table on the right are the amount of money received from SSA at the age noted.</t>
  </si>
  <si>
    <t>1. Put your Year of Birth below.</t>
  </si>
  <si>
    <t>2. Check your benefits either online or on a letter you have received and put in the three categories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</si>
</sst>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_);[Red]_(* \(#,##0.00\);_(* ??&quot;-&quot;_);_(@_)"/>
  </numFmts>
  <fonts count="3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4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164" fontId="1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</cellXfs>
  <cellStyles count="1">
    <cellStyle name="Normal" xfId="0" builtinId="0"/>
  </cellStyles>
  <dxfs count="39"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  <dxf>
      <fill>
        <patternFill>
          <bgColor rgb="FFFFA7F9"/>
        </patternFill>
      </fill>
    </dxf>
  </dxfs>
  <tableStyles count="0" defaultTableStyle="TableStyleMedium2" defaultPivotStyle="PivotStyleLight16"/>
  <colors>
    <mruColors>
      <color rgb="FFFFA7F9"/>
      <color rgb="FFF8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ur"/>
      <sheetName val="Calculater"/>
      <sheetName val="Calculator"/>
      <sheetName val="Joey AR"/>
      <sheetName val="Login Info"/>
      <sheetName val="Rename Files"/>
      <sheetName val="Office chec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1F3F-FA0D-40B2-96E5-E14C9F90BC34}">
  <sheetPr>
    <pageSetUpPr fitToPage="1"/>
  </sheetPr>
  <dimension ref="A1:V46"/>
  <sheetViews>
    <sheetView tabSelected="1" zoomScaleNormal="100" workbookViewId="0">
      <selection activeCell="A2" sqref="A2"/>
    </sheetView>
  </sheetViews>
  <sheetFormatPr defaultRowHeight="12.75" outlineLevelCol="1" x14ac:dyDescent="0.2"/>
  <cols>
    <col min="1" max="1" width="9.140625" style="1"/>
    <col min="2" max="2" width="20" style="1" customWidth="1"/>
    <col min="3" max="4" width="16.85546875" style="1" customWidth="1"/>
    <col min="5" max="5" width="2.42578125" style="1" customWidth="1"/>
    <col min="6" max="6" width="12.5703125" style="1" customWidth="1"/>
    <col min="7" max="9" width="16.85546875" style="1" customWidth="1"/>
    <col min="10" max="10" width="12.5703125" style="1" hidden="1" customWidth="1" outlineLevel="1"/>
    <col min="11" max="11" width="9.140625" style="1" hidden="1" customWidth="1" outlineLevel="1"/>
    <col min="12" max="13" width="16.42578125" style="1" hidden="1" customWidth="1" outlineLevel="1"/>
    <col min="14" max="15" width="9.140625" style="1" hidden="1" customWidth="1" outlineLevel="1"/>
    <col min="16" max="17" width="10.5703125" style="1" hidden="1" customWidth="1" outlineLevel="1"/>
    <col min="18" max="18" width="9.140625" style="1" hidden="1" customWidth="1" outlineLevel="1"/>
    <col min="19" max="21" width="14.5703125" style="1" hidden="1" customWidth="1" outlineLevel="1"/>
    <col min="22" max="22" width="9.140625" style="1" collapsed="1"/>
    <col min="23" max="16384" width="9.140625" style="1"/>
  </cols>
  <sheetData>
    <row r="1" spans="1:21" x14ac:dyDescent="0.2">
      <c r="A1" s="7" t="s">
        <v>43</v>
      </c>
    </row>
    <row r="3" spans="1:21" ht="12.75" customHeight="1" x14ac:dyDescent="0.2">
      <c r="D3" s="8"/>
      <c r="E3" s="8"/>
      <c r="F3" s="23"/>
      <c r="G3" s="24" t="s">
        <v>40</v>
      </c>
      <c r="H3" s="24" t="s">
        <v>10</v>
      </c>
      <c r="I3" s="24" t="s">
        <v>5</v>
      </c>
      <c r="J3" s="8"/>
      <c r="T3" s="16" t="s">
        <v>38</v>
      </c>
      <c r="U3" s="16" t="s">
        <v>39</v>
      </c>
    </row>
    <row r="4" spans="1:21" ht="12.75" customHeight="1" x14ac:dyDescent="0.2">
      <c r="B4" s="31" t="s">
        <v>42</v>
      </c>
      <c r="C4" s="32"/>
      <c r="D4" s="33"/>
      <c r="F4" s="22" t="s">
        <v>41</v>
      </c>
      <c r="G4" s="25"/>
      <c r="H4" s="25"/>
      <c r="I4" s="25"/>
      <c r="K4" s="16" t="s">
        <v>34</v>
      </c>
      <c r="L4" s="7" t="s">
        <v>33</v>
      </c>
      <c r="M4" s="7" t="s">
        <v>33</v>
      </c>
      <c r="N4" s="16" t="s">
        <v>32</v>
      </c>
      <c r="O4" s="16" t="s">
        <v>32</v>
      </c>
      <c r="P4" s="16" t="s">
        <v>32</v>
      </c>
      <c r="Q4" s="16" t="s">
        <v>32</v>
      </c>
      <c r="S4" s="16" t="s">
        <v>36</v>
      </c>
      <c r="T4" s="16" t="s">
        <v>37</v>
      </c>
      <c r="U4" s="16" t="s">
        <v>37</v>
      </c>
    </row>
    <row r="5" spans="1:21" ht="12.75" customHeight="1" x14ac:dyDescent="0.2">
      <c r="B5" s="34" t="s">
        <v>46</v>
      </c>
      <c r="C5" s="35"/>
      <c r="D5" s="36"/>
      <c r="F5" s="20">
        <v>62</v>
      </c>
      <c r="G5" s="21">
        <f>($F5-62)*C$19*12</f>
        <v>0</v>
      </c>
      <c r="H5" s="21">
        <v>0</v>
      </c>
      <c r="I5" s="21">
        <v>0</v>
      </c>
      <c r="K5" s="4">
        <v>1937</v>
      </c>
      <c r="L5" s="2">
        <v>65</v>
      </c>
      <c r="M5" s="3">
        <v>65</v>
      </c>
      <c r="N5" s="4">
        <f>(L5-62)*12</f>
        <v>36</v>
      </c>
      <c r="O5" s="4">
        <f>+(70-L5)*12</f>
        <v>60</v>
      </c>
      <c r="P5" s="15">
        <v>0</v>
      </c>
      <c r="Q5" s="4" t="s">
        <v>30</v>
      </c>
      <c r="S5" s="4">
        <v>60</v>
      </c>
      <c r="T5" s="10">
        <v>81.55</v>
      </c>
      <c r="U5" s="10">
        <v>84.56</v>
      </c>
    </row>
    <row r="6" spans="1:21" ht="12.75" customHeight="1" x14ac:dyDescent="0.2">
      <c r="B6" s="37" t="s">
        <v>47</v>
      </c>
      <c r="C6" s="38"/>
      <c r="D6" s="39"/>
      <c r="F6" s="18">
        <f>+F5+1</f>
        <v>63</v>
      </c>
      <c r="G6" s="19">
        <f>($F6-62)*C$19*12</f>
        <v>25200</v>
      </c>
      <c r="H6" s="19">
        <f>MAX($F6-VLOOKUP(C$16,$L$4:$M$28,2,FALSE),0)*C$20*12</f>
        <v>0</v>
      </c>
      <c r="I6" s="19">
        <f>MAX($F6-70,0)*C$21*12</f>
        <v>0</v>
      </c>
      <c r="K6" s="4">
        <v>1938</v>
      </c>
      <c r="L6" s="2" t="s">
        <v>29</v>
      </c>
      <c r="M6" s="3">
        <f>65+1/6</f>
        <v>65.166666666666671</v>
      </c>
      <c r="N6" s="4">
        <f t="shared" ref="N6:N11" si="0">+N5+2</f>
        <v>38</v>
      </c>
      <c r="O6" s="4">
        <f t="shared" ref="O6:O11" si="1">+O5-2</f>
        <v>58</v>
      </c>
      <c r="P6" s="10">
        <f>1/12</f>
        <v>8.3333333333333329E-2</v>
      </c>
      <c r="Q6" s="4" t="s">
        <v>28</v>
      </c>
      <c r="S6" s="4">
        <v>61</v>
      </c>
      <c r="T6" s="10">
        <v>81.789999999999992</v>
      </c>
      <c r="U6" s="10">
        <v>84.72</v>
      </c>
    </row>
    <row r="7" spans="1:21" ht="12.75" customHeight="1" x14ac:dyDescent="0.2">
      <c r="B7" s="37"/>
      <c r="C7" s="38"/>
      <c r="D7" s="39"/>
      <c r="F7" s="18">
        <f t="shared" ref="F7:F43" si="2">+F6+1</f>
        <v>64</v>
      </c>
      <c r="G7" s="19">
        <f>($F7-62)*C$19*12</f>
        <v>50400</v>
      </c>
      <c r="H7" s="19">
        <f>MAX($F7-VLOOKUP(C$16,$L$4:$M$28,2,FALSE),0)*C$20*12</f>
        <v>0</v>
      </c>
      <c r="I7" s="19">
        <f>MAX($F7-70,0)*C$21*12</f>
        <v>0</v>
      </c>
      <c r="K7" s="4">
        <v>1939</v>
      </c>
      <c r="L7" s="2" t="s">
        <v>26</v>
      </c>
      <c r="M7" s="3">
        <f>65+2/6</f>
        <v>65.333333333333329</v>
      </c>
      <c r="N7" s="4">
        <f t="shared" si="0"/>
        <v>40</v>
      </c>
      <c r="O7" s="4">
        <f t="shared" si="1"/>
        <v>56</v>
      </c>
      <c r="P7" s="10">
        <f>2/12</f>
        <v>0.16666666666666666</v>
      </c>
      <c r="Q7" s="4" t="s">
        <v>25</v>
      </c>
      <c r="S7" s="4">
        <v>62</v>
      </c>
      <c r="T7" s="10">
        <v>82.039999999999992</v>
      </c>
      <c r="U7" s="10">
        <v>84.89</v>
      </c>
    </row>
    <row r="8" spans="1:21" ht="12.75" customHeight="1" x14ac:dyDescent="0.2">
      <c r="B8" s="37" t="s">
        <v>45</v>
      </c>
      <c r="C8" s="38"/>
      <c r="D8" s="39"/>
      <c r="F8" s="18">
        <f t="shared" si="2"/>
        <v>65</v>
      </c>
      <c r="G8" s="19">
        <f>($F8-62)*C$19*12</f>
        <v>75600</v>
      </c>
      <c r="H8" s="19">
        <f>MAX($F8-VLOOKUP(C$16,$L$4:$M$28,2,FALSE),0)*C$20*12</f>
        <v>0</v>
      </c>
      <c r="I8" s="19">
        <f>MAX($F8-70,0)*C$21*12</f>
        <v>0</v>
      </c>
      <c r="K8" s="4">
        <v>1940</v>
      </c>
      <c r="L8" s="2" t="s">
        <v>23</v>
      </c>
      <c r="M8" s="3">
        <v>65.5</v>
      </c>
      <c r="N8" s="4">
        <f t="shared" si="0"/>
        <v>42</v>
      </c>
      <c r="O8" s="4">
        <f t="shared" si="1"/>
        <v>54</v>
      </c>
      <c r="P8" s="10">
        <f>3/12</f>
        <v>0.25</v>
      </c>
      <c r="Q8" s="4" t="s">
        <v>22</v>
      </c>
      <c r="S8" s="4">
        <v>63</v>
      </c>
      <c r="T8" s="10">
        <v>82.3</v>
      </c>
      <c r="U8" s="10">
        <v>85.07</v>
      </c>
    </row>
    <row r="9" spans="1:21" ht="12.75" customHeight="1" x14ac:dyDescent="0.2">
      <c r="B9" s="37"/>
      <c r="C9" s="38"/>
      <c r="D9" s="39"/>
      <c r="F9" s="18">
        <f t="shared" si="2"/>
        <v>66</v>
      </c>
      <c r="G9" s="19">
        <f>($F9-62)*C$19*12</f>
        <v>100800</v>
      </c>
      <c r="H9" s="19">
        <f>MAX($F9-VLOOKUP(C$16,$L$4:$M$28,2,FALSE),0)*C$20*12</f>
        <v>0</v>
      </c>
      <c r="I9" s="19">
        <f>MAX($F9-70,0)*C$21*12</f>
        <v>0</v>
      </c>
      <c r="K9" s="4">
        <v>1941</v>
      </c>
      <c r="L9" s="2" t="s">
        <v>21</v>
      </c>
      <c r="M9" s="3">
        <f>65+4/6</f>
        <v>65.666666666666671</v>
      </c>
      <c r="N9" s="4">
        <f t="shared" si="0"/>
        <v>44</v>
      </c>
      <c r="O9" s="4">
        <f t="shared" si="1"/>
        <v>52</v>
      </c>
      <c r="P9" s="10">
        <f>4/12</f>
        <v>0.33333333333333331</v>
      </c>
      <c r="Q9" s="4" t="s">
        <v>20</v>
      </c>
      <c r="S9" s="4">
        <v>64</v>
      </c>
      <c r="T9" s="10">
        <v>82.57</v>
      </c>
      <c r="U9" s="10">
        <v>85.25</v>
      </c>
    </row>
    <row r="10" spans="1:21" ht="12.75" customHeight="1" x14ac:dyDescent="0.2">
      <c r="B10" s="37" t="s">
        <v>44</v>
      </c>
      <c r="C10" s="38"/>
      <c r="D10" s="39"/>
      <c r="F10" s="18">
        <f t="shared" si="2"/>
        <v>67</v>
      </c>
      <c r="G10" s="19">
        <f>($F10-62)*C$19*12</f>
        <v>126000</v>
      </c>
      <c r="H10" s="19">
        <f>MAX($F10-VLOOKUP(C$16,$L$4:$M$28,2,FALSE),0)*C$20*12</f>
        <v>12399.999999999825</v>
      </c>
      <c r="I10" s="19">
        <f>MAX($F10-70,0)*C$21*12</f>
        <v>0</v>
      </c>
      <c r="K10" s="4">
        <v>1942</v>
      </c>
      <c r="L10" s="2" t="s">
        <v>18</v>
      </c>
      <c r="M10" s="3">
        <f>65+5/6</f>
        <v>65.833333333333329</v>
      </c>
      <c r="N10" s="4">
        <f t="shared" si="0"/>
        <v>46</v>
      </c>
      <c r="O10" s="4">
        <f t="shared" si="1"/>
        <v>50</v>
      </c>
      <c r="P10" s="10">
        <f>5/12</f>
        <v>0.41666666666666669</v>
      </c>
      <c r="Q10" s="4" t="s">
        <v>17</v>
      </c>
      <c r="S10" s="4">
        <v>65</v>
      </c>
      <c r="T10" s="10">
        <v>82.84</v>
      </c>
      <c r="U10" s="10">
        <v>85.44</v>
      </c>
    </row>
    <row r="11" spans="1:21" ht="12.75" customHeight="1" x14ac:dyDescent="0.2">
      <c r="B11" s="40"/>
      <c r="C11" s="41"/>
      <c r="D11" s="42"/>
      <c r="F11" s="18">
        <f t="shared" si="2"/>
        <v>68</v>
      </c>
      <c r="G11" s="19">
        <f>($F11-62)*C$19*12</f>
        <v>151200</v>
      </c>
      <c r="H11" s="19">
        <f>MAX($F11-VLOOKUP(C$16,$L$4:$M$28,2,FALSE),0)*C$20*12</f>
        <v>49599.999999999825</v>
      </c>
      <c r="I11" s="19">
        <f>MAX($F11-70,0)*C$21*12</f>
        <v>0</v>
      </c>
      <c r="K11" s="4">
        <v>1943</v>
      </c>
      <c r="L11" s="2">
        <v>66</v>
      </c>
      <c r="M11" s="3">
        <v>66</v>
      </c>
      <c r="N11" s="4">
        <f t="shared" si="0"/>
        <v>48</v>
      </c>
      <c r="O11" s="4">
        <f t="shared" si="1"/>
        <v>48</v>
      </c>
      <c r="P11" s="10">
        <f>6/12</f>
        <v>0.5</v>
      </c>
      <c r="Q11" s="4" t="s">
        <v>16</v>
      </c>
      <c r="S11" s="4">
        <v>66</v>
      </c>
      <c r="T11" s="10">
        <v>83.12</v>
      </c>
      <c r="U11" s="10">
        <v>85.63</v>
      </c>
    </row>
    <row r="12" spans="1:21" ht="12.75" customHeight="1" x14ac:dyDescent="0.2">
      <c r="F12" s="18">
        <f t="shared" si="2"/>
        <v>69</v>
      </c>
      <c r="G12" s="19">
        <f>($F12-62)*C$19*12</f>
        <v>176400</v>
      </c>
      <c r="H12" s="19">
        <f>MAX($F12-VLOOKUP(C$16,$L$4:$M$28,2,FALSE),0)*C$20*12</f>
        <v>86799.999999999825</v>
      </c>
      <c r="I12" s="19">
        <f>MAX($F12-70,0)*C$21*12</f>
        <v>0</v>
      </c>
      <c r="K12" s="4">
        <v>1944</v>
      </c>
      <c r="L12" s="2">
        <v>66</v>
      </c>
      <c r="M12" s="3">
        <v>66</v>
      </c>
      <c r="N12" s="4">
        <f t="shared" ref="N12:N22" si="3">+N11</f>
        <v>48</v>
      </c>
      <c r="O12" s="4">
        <f t="shared" ref="O12:O22" si="4">+O11</f>
        <v>48</v>
      </c>
      <c r="P12" s="10">
        <f>7/12</f>
        <v>0.58333333333333337</v>
      </c>
      <c r="Q12" s="4" t="s">
        <v>15</v>
      </c>
      <c r="S12" s="4">
        <v>67</v>
      </c>
      <c r="T12" s="10">
        <v>83.4</v>
      </c>
      <c r="U12" s="10">
        <v>85.84</v>
      </c>
    </row>
    <row r="13" spans="1:21" ht="12.75" customHeight="1" x14ac:dyDescent="0.2">
      <c r="F13" s="18">
        <f t="shared" si="2"/>
        <v>70</v>
      </c>
      <c r="G13" s="19">
        <f>($F13-62)*C$19*12</f>
        <v>201600</v>
      </c>
      <c r="H13" s="19">
        <f>MAX($F13-VLOOKUP(C$16,$L$4:$M$28,2,FALSE),0)*C$20*12</f>
        <v>123999.99999999983</v>
      </c>
      <c r="I13" s="19">
        <f>MAX($F13-70,0)*C$21*12</f>
        <v>0</v>
      </c>
      <c r="K13" s="4">
        <v>1945</v>
      </c>
      <c r="L13" s="2">
        <v>66</v>
      </c>
      <c r="M13" s="3">
        <v>66</v>
      </c>
      <c r="N13" s="4">
        <f t="shared" si="3"/>
        <v>48</v>
      </c>
      <c r="O13" s="4">
        <f t="shared" si="4"/>
        <v>48</v>
      </c>
      <c r="P13" s="10">
        <f>8/12</f>
        <v>0.66666666666666663</v>
      </c>
      <c r="Q13" s="4" t="s">
        <v>14</v>
      </c>
      <c r="S13" s="4">
        <v>68</v>
      </c>
      <c r="T13" s="10">
        <v>83.7</v>
      </c>
      <c r="U13" s="10">
        <v>86.06</v>
      </c>
    </row>
    <row r="14" spans="1:21" ht="12.75" customHeight="1" x14ac:dyDescent="0.2">
      <c r="F14" s="18">
        <f t="shared" si="2"/>
        <v>71</v>
      </c>
      <c r="G14" s="19">
        <f>($F14-62)*C$19*12</f>
        <v>226800</v>
      </c>
      <c r="H14" s="19">
        <f>MAX($F14-VLOOKUP(C$16,$L$4:$M$28,2,FALSE),0)*C$20*12</f>
        <v>161199.99999999983</v>
      </c>
      <c r="I14" s="19">
        <f>MAX($F14-70,0)*C$21*12</f>
        <v>48000</v>
      </c>
      <c r="K14" s="4">
        <v>1946</v>
      </c>
      <c r="L14" s="2">
        <v>66</v>
      </c>
      <c r="M14" s="3">
        <v>66</v>
      </c>
      <c r="N14" s="4">
        <f t="shared" si="3"/>
        <v>48</v>
      </c>
      <c r="O14" s="4">
        <f t="shared" si="4"/>
        <v>48</v>
      </c>
      <c r="P14" s="10">
        <f>9/12</f>
        <v>0.75</v>
      </c>
      <c r="Q14" s="4" t="s">
        <v>13</v>
      </c>
      <c r="S14" s="4">
        <v>69</v>
      </c>
      <c r="T14" s="10">
        <v>84.01</v>
      </c>
      <c r="U14" s="10">
        <v>86.289999999999992</v>
      </c>
    </row>
    <row r="15" spans="1:21" ht="12.75" customHeight="1" x14ac:dyDescent="0.2">
      <c r="B15" s="30" t="s">
        <v>35</v>
      </c>
      <c r="C15" s="17">
        <v>1958</v>
      </c>
      <c r="F15" s="18">
        <f t="shared" si="2"/>
        <v>72</v>
      </c>
      <c r="G15" s="19">
        <f>($F15-62)*C$19*12</f>
        <v>252000</v>
      </c>
      <c r="H15" s="19">
        <f>MAX($F15-VLOOKUP(C$16,$L$4:$M$28,2,FALSE),0)*C$20*12</f>
        <v>198399.99999999983</v>
      </c>
      <c r="I15" s="19">
        <f>MAX($F15-70,0)*C$21*12</f>
        <v>96000</v>
      </c>
      <c r="K15" s="4">
        <v>1947</v>
      </c>
      <c r="L15" s="2">
        <v>66</v>
      </c>
      <c r="M15" s="3">
        <v>66</v>
      </c>
      <c r="N15" s="4">
        <f t="shared" si="3"/>
        <v>48</v>
      </c>
      <c r="O15" s="4">
        <f t="shared" si="4"/>
        <v>48</v>
      </c>
      <c r="P15" s="10">
        <f>10/12</f>
        <v>0.83333333333333337</v>
      </c>
      <c r="Q15" s="4" t="s">
        <v>11</v>
      </c>
      <c r="S15" s="4">
        <v>70</v>
      </c>
      <c r="T15" s="10">
        <v>84.32</v>
      </c>
      <c r="U15" s="10">
        <v>86.53</v>
      </c>
    </row>
    <row r="16" spans="1:21" ht="12.75" customHeight="1" x14ac:dyDescent="0.2">
      <c r="B16" s="13" t="s">
        <v>31</v>
      </c>
      <c r="C16" s="4" t="str">
        <f>IF(C15&lt;1938,65,VLOOKUP(C15,$K$5:$L$28,2,TRUE))</f>
        <v>66 and 8 months</v>
      </c>
      <c r="F16" s="18">
        <f t="shared" si="2"/>
        <v>73</v>
      </c>
      <c r="G16" s="19">
        <f>($F16-62)*C$19*12</f>
        <v>277200</v>
      </c>
      <c r="H16" s="19">
        <f>MAX($F16-VLOOKUP(C$16,$L$4:$M$28,2,FALSE),0)*C$20*12</f>
        <v>235599.99999999983</v>
      </c>
      <c r="I16" s="19">
        <f>MAX($F16-70,0)*C$21*12</f>
        <v>144000</v>
      </c>
      <c r="K16" s="4">
        <v>1948</v>
      </c>
      <c r="L16" s="2">
        <v>66</v>
      </c>
      <c r="M16" s="3">
        <v>66</v>
      </c>
      <c r="N16" s="4">
        <f t="shared" si="3"/>
        <v>48</v>
      </c>
      <c r="O16" s="4">
        <f t="shared" si="4"/>
        <v>48</v>
      </c>
      <c r="P16" s="10">
        <f>11/12</f>
        <v>0.91666666666666663</v>
      </c>
      <c r="Q16" s="4" t="s">
        <v>9</v>
      </c>
      <c r="S16" s="4">
        <v>71</v>
      </c>
      <c r="T16" s="10">
        <v>84.66</v>
      </c>
      <c r="U16" s="10">
        <v>86.78</v>
      </c>
    </row>
    <row r="17" spans="2:21" ht="12.75" customHeight="1" x14ac:dyDescent="0.2">
      <c r="C17" s="4"/>
      <c r="F17" s="18">
        <f t="shared" si="2"/>
        <v>74</v>
      </c>
      <c r="G17" s="19">
        <f>($F17-62)*C$19*12</f>
        <v>302400</v>
      </c>
      <c r="H17" s="19">
        <f>MAX($F17-VLOOKUP(C$16,$L$4:$M$28,2,FALSE),0)*C$20*12</f>
        <v>272799.99999999983</v>
      </c>
      <c r="I17" s="19">
        <f>MAX($F17-70,0)*C$21*12</f>
        <v>192000</v>
      </c>
      <c r="K17" s="4">
        <v>1949</v>
      </c>
      <c r="L17" s="2">
        <v>66</v>
      </c>
      <c r="M17" s="3">
        <v>66</v>
      </c>
      <c r="N17" s="4">
        <f t="shared" si="3"/>
        <v>48</v>
      </c>
      <c r="O17" s="4">
        <f t="shared" si="4"/>
        <v>48</v>
      </c>
      <c r="P17" s="5"/>
      <c r="S17" s="4">
        <v>72</v>
      </c>
      <c r="T17" s="10">
        <v>85</v>
      </c>
      <c r="U17" s="10">
        <v>87.05</v>
      </c>
    </row>
    <row r="18" spans="2:21" ht="12.75" customHeight="1" x14ac:dyDescent="0.2">
      <c r="B18" s="14" t="s">
        <v>27</v>
      </c>
      <c r="C18" s="14"/>
      <c r="F18" s="18">
        <f t="shared" si="2"/>
        <v>75</v>
      </c>
      <c r="G18" s="19">
        <f>($F18-62)*C$19*12</f>
        <v>327600</v>
      </c>
      <c r="H18" s="19">
        <f>MAX($F18-VLOOKUP(C$16,$L$4:$M$28,2,FALSE),0)*C$20*12</f>
        <v>309999.99999999983</v>
      </c>
      <c r="I18" s="19">
        <f>MAX($F18-70,0)*C$21*12</f>
        <v>240000</v>
      </c>
      <c r="K18" s="4">
        <v>1950</v>
      </c>
      <c r="L18" s="2">
        <v>66</v>
      </c>
      <c r="M18" s="3">
        <v>66</v>
      </c>
      <c r="N18" s="4">
        <f t="shared" si="3"/>
        <v>48</v>
      </c>
      <c r="O18" s="4">
        <f t="shared" si="4"/>
        <v>48</v>
      </c>
      <c r="S18" s="4">
        <v>73</v>
      </c>
      <c r="T18" s="10">
        <v>85.36</v>
      </c>
      <c r="U18" s="10">
        <v>87.34</v>
      </c>
    </row>
    <row r="19" spans="2:21" ht="12.75" customHeight="1" x14ac:dyDescent="0.2">
      <c r="B19" s="13" t="s">
        <v>24</v>
      </c>
      <c r="C19" s="12">
        <v>2100</v>
      </c>
      <c r="F19" s="18">
        <f t="shared" si="2"/>
        <v>76</v>
      </c>
      <c r="G19" s="19">
        <f>($F19-62)*C$19*12</f>
        <v>352800</v>
      </c>
      <c r="H19" s="19">
        <f>MAX($F19-VLOOKUP(C$16,$L$4:$M$28,2,FALSE),0)*C$20*12</f>
        <v>347199.99999999983</v>
      </c>
      <c r="I19" s="19">
        <f>MAX($F19-70,0)*C$21*12</f>
        <v>288000</v>
      </c>
      <c r="K19" s="4">
        <v>1951</v>
      </c>
      <c r="L19" s="2">
        <v>66</v>
      </c>
      <c r="M19" s="3">
        <v>66</v>
      </c>
      <c r="N19" s="4">
        <f t="shared" si="3"/>
        <v>48</v>
      </c>
      <c r="O19" s="4">
        <f t="shared" si="4"/>
        <v>48</v>
      </c>
      <c r="S19" s="4">
        <v>74</v>
      </c>
      <c r="T19" s="10">
        <v>85.73</v>
      </c>
      <c r="U19" s="10">
        <v>87.63</v>
      </c>
    </row>
    <row r="20" spans="2:21" ht="12.75" customHeight="1" x14ac:dyDescent="0.2">
      <c r="B20" s="13" t="str">
        <f>"At age "&amp;C16</f>
        <v>At age 66 and 8 months</v>
      </c>
      <c r="C20" s="12">
        <v>3100</v>
      </c>
      <c r="F20" s="18">
        <f t="shared" si="2"/>
        <v>77</v>
      </c>
      <c r="G20" s="19">
        <f>($F20-62)*C$19*12</f>
        <v>378000</v>
      </c>
      <c r="H20" s="19">
        <f>MAX($F20-VLOOKUP(C$16,$L$4:$M$28,2,FALSE),0)*C$20*12</f>
        <v>384399.99999999983</v>
      </c>
      <c r="I20" s="19">
        <f>MAX($F20-70,0)*C$21*12</f>
        <v>336000</v>
      </c>
      <c r="K20" s="4">
        <v>1952</v>
      </c>
      <c r="L20" s="2">
        <v>66</v>
      </c>
      <c r="M20" s="3">
        <v>66</v>
      </c>
      <c r="N20" s="4">
        <f t="shared" si="3"/>
        <v>48</v>
      </c>
      <c r="O20" s="4">
        <f t="shared" si="4"/>
        <v>48</v>
      </c>
      <c r="S20" s="4">
        <v>75</v>
      </c>
      <c r="T20" s="10">
        <v>86.11</v>
      </c>
      <c r="U20" s="10">
        <v>87.94</v>
      </c>
    </row>
    <row r="21" spans="2:21" ht="12.75" customHeight="1" x14ac:dyDescent="0.2">
      <c r="B21" s="13" t="s">
        <v>19</v>
      </c>
      <c r="C21" s="12">
        <v>4000</v>
      </c>
      <c r="F21" s="18">
        <f t="shared" si="2"/>
        <v>78</v>
      </c>
      <c r="G21" s="19">
        <f>($F21-62)*C$19*12</f>
        <v>403200</v>
      </c>
      <c r="H21" s="19">
        <f>MAX($F21-VLOOKUP(C$16,$L$4:$M$28,2,FALSE),0)*C$20*12</f>
        <v>421599.99999999988</v>
      </c>
      <c r="I21" s="19">
        <f>MAX($F21-70,0)*C$21*12</f>
        <v>384000</v>
      </c>
      <c r="K21" s="4">
        <v>1953</v>
      </c>
      <c r="L21" s="2">
        <v>66</v>
      </c>
      <c r="M21" s="3">
        <v>66</v>
      </c>
      <c r="N21" s="4">
        <f t="shared" si="3"/>
        <v>48</v>
      </c>
      <c r="O21" s="4">
        <f t="shared" si="4"/>
        <v>48</v>
      </c>
      <c r="S21" s="4">
        <v>76</v>
      </c>
      <c r="T21" s="10">
        <v>86.51</v>
      </c>
      <c r="U21" s="10">
        <v>88.26</v>
      </c>
    </row>
    <row r="22" spans="2:21" ht="12.75" customHeight="1" x14ac:dyDescent="0.2">
      <c r="F22" s="18">
        <f t="shared" si="2"/>
        <v>79</v>
      </c>
      <c r="G22" s="19">
        <f>($F22-62)*C$19*12</f>
        <v>428400</v>
      </c>
      <c r="H22" s="19">
        <f>MAX($F22-VLOOKUP(C$16,$L$4:$M$28,2,FALSE),0)*C$20*12</f>
        <v>458799.99999999988</v>
      </c>
      <c r="I22" s="19">
        <f>MAX($F22-70,0)*C$21*12</f>
        <v>432000</v>
      </c>
      <c r="K22" s="4">
        <v>1954</v>
      </c>
      <c r="L22" s="2">
        <v>66</v>
      </c>
      <c r="M22" s="3">
        <v>66</v>
      </c>
      <c r="N22" s="4">
        <f t="shared" si="3"/>
        <v>48</v>
      </c>
      <c r="O22" s="4">
        <f t="shared" si="4"/>
        <v>48</v>
      </c>
      <c r="S22" s="4">
        <v>77</v>
      </c>
      <c r="T22" s="10">
        <v>86.93</v>
      </c>
      <c r="U22" s="10">
        <v>88.6</v>
      </c>
    </row>
    <row r="23" spans="2:21" ht="12.75" customHeight="1" x14ac:dyDescent="0.2">
      <c r="F23" s="18">
        <f t="shared" si="2"/>
        <v>80</v>
      </c>
      <c r="G23" s="19">
        <f>($F23-62)*C$19*12</f>
        <v>453600</v>
      </c>
      <c r="H23" s="19">
        <f>MAX($F23-VLOOKUP(C$16,$L$4:$M$28,2,FALSE),0)*C$20*12</f>
        <v>495999.99999999988</v>
      </c>
      <c r="I23" s="19">
        <f>MAX($F23-70,0)*C$21*12</f>
        <v>480000</v>
      </c>
      <c r="K23" s="4">
        <v>1955</v>
      </c>
      <c r="L23" s="2" t="s">
        <v>4</v>
      </c>
      <c r="M23" s="3">
        <f>66+1/6</f>
        <v>66.166666666666671</v>
      </c>
      <c r="N23" s="4">
        <f t="shared" ref="N23:N28" si="5">+N22+2</f>
        <v>50</v>
      </c>
      <c r="O23" s="4">
        <f t="shared" ref="O23:O28" si="6">+O22-2</f>
        <v>46</v>
      </c>
      <c r="S23" s="4">
        <v>78</v>
      </c>
      <c r="T23" s="10">
        <v>87.36</v>
      </c>
      <c r="U23" s="10">
        <v>88.960000000000008</v>
      </c>
    </row>
    <row r="24" spans="2:21" ht="12.75" customHeight="1" x14ac:dyDescent="0.2">
      <c r="F24" s="18">
        <f t="shared" si="2"/>
        <v>81</v>
      </c>
      <c r="G24" s="19">
        <f>($F24-62)*C$19*12</f>
        <v>478800</v>
      </c>
      <c r="H24" s="19">
        <f>MAX($F24-VLOOKUP(C$16,$L$4:$M$28,2,FALSE),0)*C$20*12</f>
        <v>533199.99999999988</v>
      </c>
      <c r="I24" s="19">
        <f>MAX($F24-70,0)*C$21*12</f>
        <v>528000</v>
      </c>
      <c r="K24" s="4">
        <v>1956</v>
      </c>
      <c r="L24" s="2" t="s">
        <v>3</v>
      </c>
      <c r="M24" s="3">
        <f>66+2/6</f>
        <v>66.333333333333329</v>
      </c>
      <c r="N24" s="4">
        <f t="shared" si="5"/>
        <v>52</v>
      </c>
      <c r="O24" s="4">
        <f t="shared" si="6"/>
        <v>44</v>
      </c>
      <c r="S24" s="4">
        <v>79</v>
      </c>
      <c r="T24" s="10">
        <v>87.81</v>
      </c>
      <c r="U24" s="10">
        <v>89.33</v>
      </c>
    </row>
    <row r="25" spans="2:21" ht="12.75" customHeight="1" x14ac:dyDescent="0.2">
      <c r="B25" s="26" t="s">
        <v>12</v>
      </c>
      <c r="C25" s="27" t="s">
        <v>7</v>
      </c>
      <c r="D25" s="28" t="s">
        <v>6</v>
      </c>
      <c r="F25" s="18">
        <f t="shared" si="2"/>
        <v>82</v>
      </c>
      <c r="G25" s="19">
        <f>($F25-62)*C$19*12</f>
        <v>504000</v>
      </c>
      <c r="H25" s="19">
        <f>MAX($F25-VLOOKUP(C$16,$L$4:$M$28,2,FALSE),0)*C$20*12</f>
        <v>570399.99999999988</v>
      </c>
      <c r="I25" s="19">
        <f>MAX($F25-70,0)*C$21*12</f>
        <v>576000</v>
      </c>
      <c r="K25" s="4">
        <v>1957</v>
      </c>
      <c r="L25" s="2" t="s">
        <v>2</v>
      </c>
      <c r="M25" s="3">
        <v>66.5</v>
      </c>
      <c r="N25" s="4">
        <f t="shared" si="5"/>
        <v>54</v>
      </c>
      <c r="O25" s="4">
        <f t="shared" si="6"/>
        <v>42</v>
      </c>
      <c r="S25" s="4">
        <v>80</v>
      </c>
      <c r="T25" s="10">
        <v>88.28</v>
      </c>
      <c r="U25" s="10">
        <v>89.73</v>
      </c>
    </row>
    <row r="26" spans="2:21" ht="12.75" customHeight="1" x14ac:dyDescent="0.2">
      <c r="B26" s="26"/>
      <c r="C26" s="27"/>
      <c r="D26" s="28"/>
      <c r="F26" s="18">
        <f t="shared" si="2"/>
        <v>83</v>
      </c>
      <c r="G26" s="19">
        <f>($F26-62)*C$19*12</f>
        <v>529200</v>
      </c>
      <c r="H26" s="19">
        <f>MAX($F26-VLOOKUP(C$16,$L$4:$M$28,2,FALSE),0)*C$20*12</f>
        <v>607599.99999999988</v>
      </c>
      <c r="I26" s="19">
        <f>MAX($F26-70,0)*C$21*12</f>
        <v>624000</v>
      </c>
      <c r="K26" s="4">
        <v>1958</v>
      </c>
      <c r="L26" s="2" t="s">
        <v>1</v>
      </c>
      <c r="M26" s="3">
        <f>66+4/6</f>
        <v>66.666666666666671</v>
      </c>
      <c r="N26" s="4">
        <f t="shared" si="5"/>
        <v>56</v>
      </c>
      <c r="O26" s="4">
        <f t="shared" si="6"/>
        <v>40</v>
      </c>
      <c r="S26" s="4">
        <v>81</v>
      </c>
      <c r="T26" s="10">
        <v>88.76</v>
      </c>
      <c r="U26" s="10">
        <v>90.14</v>
      </c>
    </row>
    <row r="27" spans="2:21" ht="12.75" customHeight="1" x14ac:dyDescent="0.2">
      <c r="B27" s="7" t="s">
        <v>10</v>
      </c>
      <c r="C27" s="11" t="str">
        <f>ROUNDDOWN(C19*VLOOKUP(C16,$L$4:$N$28,3,FALSE)/(C20-C19)/12+VLOOKUP(C16,$L$4:$N$28,2,FALSE),0)&amp;" &amp; "&amp;VLOOKUP(MOD(C19*VLOOKUP(C16,$L$4:$N$28,3,FALSE)/(C20-C19)/12+VLOOKUP(C16,$L$4:$N$28,2,FALSE),1),$P$4:$Q$16,2,TRUE)</f>
        <v>76 &amp; 5 months</v>
      </c>
      <c r="D27" s="9">
        <f>ROUNDDOWN((C19*VLOOKUP(C16,$L$4:$N$28,3,FALSE)/(C20-C19)/12+VLOOKUP(C16,$L$4:$N$28,2,FALSE)-62)*C19*12,-2)</f>
        <v>364500</v>
      </c>
      <c r="F27" s="18">
        <f t="shared" si="2"/>
        <v>84</v>
      </c>
      <c r="G27" s="19">
        <f>($F27-62)*C$19*12</f>
        <v>554400</v>
      </c>
      <c r="H27" s="19">
        <f>MAX($F27-VLOOKUP(C$16,$L$4:$M$28,2,FALSE),0)*C$20*12</f>
        <v>644799.99999999988</v>
      </c>
      <c r="I27" s="19">
        <f>MAX($F27-70,0)*C$21*12</f>
        <v>672000</v>
      </c>
      <c r="K27" s="4">
        <v>1959</v>
      </c>
      <c r="L27" s="2" t="s">
        <v>0</v>
      </c>
      <c r="M27" s="3">
        <f>66+5/6</f>
        <v>66.833333333333329</v>
      </c>
      <c r="N27" s="4">
        <f t="shared" si="5"/>
        <v>58</v>
      </c>
      <c r="O27" s="4">
        <f t="shared" si="6"/>
        <v>38</v>
      </c>
      <c r="S27" s="4">
        <v>82</v>
      </c>
      <c r="T27" s="10">
        <v>89.27</v>
      </c>
      <c r="U27" s="10">
        <v>90.58</v>
      </c>
    </row>
    <row r="28" spans="2:21" ht="12.75" customHeight="1" x14ac:dyDescent="0.2">
      <c r="F28" s="18">
        <f t="shared" si="2"/>
        <v>85</v>
      </c>
      <c r="G28" s="19">
        <f>($F28-62)*C$19*12</f>
        <v>579600</v>
      </c>
      <c r="H28" s="19">
        <f>MAX($F28-VLOOKUP(C$16,$L$4:$M$28,2,FALSE),0)*C$20*12</f>
        <v>681999.99999999988</v>
      </c>
      <c r="I28" s="19">
        <f>MAX($F28-70,0)*C$21*12</f>
        <v>720000</v>
      </c>
      <c r="K28" s="4">
        <v>1960</v>
      </c>
      <c r="L28" s="2">
        <v>67</v>
      </c>
      <c r="M28" s="3">
        <v>67</v>
      </c>
      <c r="N28" s="4">
        <f t="shared" si="5"/>
        <v>60</v>
      </c>
      <c r="O28" s="4">
        <f t="shared" si="6"/>
        <v>36</v>
      </c>
      <c r="S28" s="4">
        <v>83</v>
      </c>
      <c r="T28" s="10">
        <v>89.8</v>
      </c>
      <c r="U28" s="10">
        <v>91.039999999999992</v>
      </c>
    </row>
    <row r="29" spans="2:21" ht="12.75" customHeight="1" x14ac:dyDescent="0.2">
      <c r="F29" s="18">
        <f t="shared" si="2"/>
        <v>86</v>
      </c>
      <c r="G29" s="19">
        <f>($F29-62)*C$19*12</f>
        <v>604800</v>
      </c>
      <c r="H29" s="19">
        <f>MAX($F29-VLOOKUP(C$16,$L$4:$M$28,2,FALSE),0)*C$20*12</f>
        <v>719199.99999999988</v>
      </c>
      <c r="I29" s="19">
        <f>MAX($F29-70,0)*C$21*12</f>
        <v>768000</v>
      </c>
      <c r="M29" s="3"/>
      <c r="S29" s="4">
        <v>84</v>
      </c>
      <c r="T29" s="10">
        <v>90.34</v>
      </c>
      <c r="U29" s="10">
        <v>91.52</v>
      </c>
    </row>
    <row r="30" spans="2:21" ht="12.75" customHeight="1" x14ac:dyDescent="0.2">
      <c r="B30" s="29" t="s">
        <v>8</v>
      </c>
      <c r="C30" s="27" t="s">
        <v>7</v>
      </c>
      <c r="D30" s="28" t="s">
        <v>6</v>
      </c>
      <c r="F30" s="18">
        <f t="shared" si="2"/>
        <v>87</v>
      </c>
      <c r="G30" s="19">
        <f>($F30-62)*C$19*12</f>
        <v>630000</v>
      </c>
      <c r="H30" s="19">
        <f>MAX($F30-VLOOKUP(C$16,$L$4:$M$28,2,FALSE),0)*C$20*12</f>
        <v>756399.99999999988</v>
      </c>
      <c r="I30" s="19">
        <f>MAX($F30-70,0)*C$21*12</f>
        <v>816000</v>
      </c>
      <c r="M30" s="3"/>
      <c r="P30" s="2"/>
      <c r="S30" s="4">
        <v>85</v>
      </c>
      <c r="T30" s="10">
        <v>90.91</v>
      </c>
      <c r="U30" s="10">
        <v>92.01</v>
      </c>
    </row>
    <row r="31" spans="2:21" ht="12.75" customHeight="1" x14ac:dyDescent="0.2">
      <c r="B31" s="29"/>
      <c r="C31" s="27"/>
      <c r="D31" s="28"/>
      <c r="F31" s="18">
        <f t="shared" si="2"/>
        <v>88</v>
      </c>
      <c r="G31" s="19">
        <f>($F31-62)*C$19*12</f>
        <v>655200</v>
      </c>
      <c r="H31" s="19">
        <f>MAX($F31-VLOOKUP(C$16,$L$4:$M$28,2,FALSE),0)*C$20*12</f>
        <v>793599.99999999977</v>
      </c>
      <c r="I31" s="19">
        <f>MAX($F31-70,0)*C$21*12</f>
        <v>864000</v>
      </c>
      <c r="M31" s="3"/>
      <c r="P31" s="2"/>
      <c r="S31" s="4">
        <v>86</v>
      </c>
      <c r="T31" s="10">
        <v>91.5</v>
      </c>
      <c r="U31" s="10">
        <v>92.53</v>
      </c>
    </row>
    <row r="32" spans="2:21" ht="12.75" customHeight="1" x14ac:dyDescent="0.2">
      <c r="B32" s="7" t="s">
        <v>5</v>
      </c>
      <c r="C32" s="6" t="str">
        <f>ROUNDDOWN(C20*VLOOKUP(C16,$L$4:$O$28,4,FALSE)/(C21-C20)/12+70,0)&amp;" &amp; "&amp;VLOOKUP(MOD(C20*VLOOKUP(C16,$L$4:$O$28,4,FALSE)/(C21-C20)/12+70,1),$P$4:$Q$16,2,TRUE)</f>
        <v>81 &amp; 5 months</v>
      </c>
      <c r="D32" s="5">
        <f>ROUNDDOWN((C20*VLOOKUP(C16,$L$4:$O$28,4,FALSE)/(C21-C20)/12+70-VLOOKUP(C16,$L$4:$M$28,2,FALSE))*C20*12,-2)</f>
        <v>551100</v>
      </c>
      <c r="F32" s="18">
        <f t="shared" si="2"/>
        <v>89</v>
      </c>
      <c r="G32" s="19">
        <f>($F32-62)*C$19*12</f>
        <v>680400</v>
      </c>
      <c r="H32" s="19">
        <f>MAX($F32-VLOOKUP(C$16,$L$4:$M$28,2,FALSE),0)*C$20*12</f>
        <v>830799.99999999977</v>
      </c>
      <c r="I32" s="19">
        <f>MAX($F32-70,0)*C$21*12</f>
        <v>912000</v>
      </c>
      <c r="M32" s="3"/>
      <c r="P32" s="2"/>
      <c r="S32" s="4">
        <v>87</v>
      </c>
      <c r="T32" s="10">
        <v>92.11</v>
      </c>
      <c r="U32" s="10">
        <v>93.08</v>
      </c>
    </row>
    <row r="33" spans="6:21" ht="12.75" customHeight="1" x14ac:dyDescent="0.2">
      <c r="F33" s="18">
        <f t="shared" si="2"/>
        <v>90</v>
      </c>
      <c r="G33" s="19">
        <f>($F33-62)*C$19*12</f>
        <v>705600</v>
      </c>
      <c r="H33" s="19">
        <f>MAX($F33-VLOOKUP(C$16,$L$4:$M$28,2,FALSE),0)*C$20*12</f>
        <v>867999.99999999977</v>
      </c>
      <c r="I33" s="19">
        <f>MAX($F33-70,0)*C$21*12</f>
        <v>960000</v>
      </c>
      <c r="M33" s="3"/>
      <c r="P33" s="2"/>
      <c r="S33" s="4">
        <v>88</v>
      </c>
      <c r="T33" s="10">
        <v>92.74</v>
      </c>
      <c r="U33" s="10">
        <v>93.64</v>
      </c>
    </row>
    <row r="34" spans="6:21" ht="12.75" customHeight="1" x14ac:dyDescent="0.2">
      <c r="F34" s="18">
        <f t="shared" si="2"/>
        <v>91</v>
      </c>
      <c r="G34" s="19">
        <f>($F34-62)*C$19*12</f>
        <v>730800</v>
      </c>
      <c r="H34" s="19">
        <f>MAX($F34-VLOOKUP(C$16,$L$4:$M$28,2,FALSE),0)*C$20*12</f>
        <v>905199.99999999977</v>
      </c>
      <c r="I34" s="19">
        <f>MAX($F34-70,0)*C$21*12</f>
        <v>1008000</v>
      </c>
      <c r="M34" s="3"/>
      <c r="P34" s="2"/>
      <c r="S34" s="4">
        <v>89</v>
      </c>
      <c r="T34" s="10">
        <v>93.4</v>
      </c>
      <c r="U34" s="10">
        <v>94.23</v>
      </c>
    </row>
    <row r="35" spans="6:21" ht="12.75" customHeight="1" x14ac:dyDescent="0.2">
      <c r="F35" s="18">
        <f t="shared" si="2"/>
        <v>92</v>
      </c>
      <c r="G35" s="19">
        <f>($F35-62)*C$19*12</f>
        <v>756000</v>
      </c>
      <c r="H35" s="19">
        <f>MAX($F35-VLOOKUP(C$16,$L$4:$M$28,2,FALSE),0)*C$20*12</f>
        <v>942399.99999999977</v>
      </c>
      <c r="I35" s="19">
        <f>MAX($F35-70,0)*C$21*12</f>
        <v>1056000</v>
      </c>
      <c r="M35" s="3"/>
      <c r="P35" s="2"/>
      <c r="S35" s="4">
        <v>90</v>
      </c>
      <c r="T35" s="10">
        <v>94.08</v>
      </c>
      <c r="U35" s="10">
        <v>94.85</v>
      </c>
    </row>
    <row r="36" spans="6:21" ht="12.75" customHeight="1" x14ac:dyDescent="0.2">
      <c r="F36" s="18">
        <f t="shared" si="2"/>
        <v>93</v>
      </c>
      <c r="G36" s="19">
        <f>($F36-62)*C$19*12</f>
        <v>781200</v>
      </c>
      <c r="H36" s="19">
        <f>MAX($F36-VLOOKUP(C$16,$L$4:$M$28,2,FALSE),0)*C$20*12</f>
        <v>979599.99999999977</v>
      </c>
      <c r="I36" s="19">
        <f>MAX($F36-70,0)*C$21*12</f>
        <v>1104000</v>
      </c>
      <c r="M36" s="3"/>
      <c r="P36" s="2"/>
      <c r="S36" s="4">
        <v>91</v>
      </c>
      <c r="T36" s="10">
        <v>94.79</v>
      </c>
      <c r="U36" s="10">
        <v>95.5</v>
      </c>
    </row>
    <row r="37" spans="6:21" ht="12.75" customHeight="1" x14ac:dyDescent="0.2">
      <c r="F37" s="18">
        <f t="shared" si="2"/>
        <v>94</v>
      </c>
      <c r="G37" s="19">
        <f>($F37-62)*C$19*12</f>
        <v>806400</v>
      </c>
      <c r="H37" s="19">
        <f>MAX($F37-VLOOKUP(C$16,$L$4:$M$28,2,FALSE),0)*C$20*12</f>
        <v>1016799.9999999998</v>
      </c>
      <c r="I37" s="19">
        <f>MAX($F37-70,0)*C$21*12</f>
        <v>1152000</v>
      </c>
      <c r="M37" s="3"/>
      <c r="P37" s="2"/>
      <c r="S37" s="4">
        <v>92</v>
      </c>
      <c r="T37" s="10">
        <v>95.52</v>
      </c>
      <c r="U37" s="10">
        <v>96.18</v>
      </c>
    </row>
    <row r="38" spans="6:21" ht="12.75" customHeight="1" x14ac:dyDescent="0.2">
      <c r="F38" s="18">
        <f t="shared" si="2"/>
        <v>95</v>
      </c>
      <c r="G38" s="19">
        <f>($F38-62)*C$19*12</f>
        <v>831600</v>
      </c>
      <c r="H38" s="19">
        <f>MAX($F38-VLOOKUP(C$16,$L$4:$M$28,2,FALSE),0)*C$20*12</f>
        <v>1053999.9999999998</v>
      </c>
      <c r="I38" s="19">
        <f>MAX($F38-70,0)*C$21*12</f>
        <v>1200000</v>
      </c>
      <c r="M38" s="3"/>
      <c r="P38" s="2"/>
      <c r="S38" s="4">
        <v>93</v>
      </c>
      <c r="T38" s="10">
        <v>96.27</v>
      </c>
      <c r="U38" s="10">
        <v>96.88</v>
      </c>
    </row>
    <row r="39" spans="6:21" ht="12.75" customHeight="1" x14ac:dyDescent="0.2">
      <c r="F39" s="18">
        <f t="shared" si="2"/>
        <v>96</v>
      </c>
      <c r="G39" s="19">
        <f>($F39-62)*C$19*12</f>
        <v>856800</v>
      </c>
      <c r="H39" s="19">
        <f>MAX($F39-VLOOKUP(C$16,$L$4:$M$28,2,FALSE),0)*C$20*12</f>
        <v>1091199.9999999998</v>
      </c>
      <c r="I39" s="19">
        <f>MAX($F39-70,0)*C$21*12</f>
        <v>1248000</v>
      </c>
      <c r="M39" s="3"/>
      <c r="P39" s="2"/>
      <c r="S39" s="4">
        <v>94</v>
      </c>
      <c r="T39" s="10">
        <v>97.05</v>
      </c>
      <c r="U39" s="10">
        <v>97.61</v>
      </c>
    </row>
    <row r="40" spans="6:21" ht="12.75" customHeight="1" x14ac:dyDescent="0.2">
      <c r="F40" s="18">
        <f t="shared" si="2"/>
        <v>97</v>
      </c>
      <c r="G40" s="19">
        <f>($F40-62)*C$19*12</f>
        <v>882000</v>
      </c>
      <c r="H40" s="19">
        <f>MAX($F40-VLOOKUP(C$16,$L$4:$M$28,2,FALSE),0)*C$20*12</f>
        <v>1128399.9999999998</v>
      </c>
      <c r="I40" s="19">
        <f>MAX($F40-70,0)*C$21*12</f>
        <v>1296000</v>
      </c>
      <c r="M40" s="3"/>
      <c r="P40" s="2"/>
      <c r="S40" s="4">
        <v>95</v>
      </c>
      <c r="T40" s="10">
        <v>97.85</v>
      </c>
      <c r="U40" s="10">
        <v>98.37</v>
      </c>
    </row>
    <row r="41" spans="6:21" ht="12.75" customHeight="1" x14ac:dyDescent="0.2">
      <c r="F41" s="18">
        <f t="shared" si="2"/>
        <v>98</v>
      </c>
      <c r="G41" s="19">
        <f>($F41-62)*C$19*12</f>
        <v>907200</v>
      </c>
      <c r="H41" s="19">
        <f>MAX($F41-VLOOKUP(C$16,$L$4:$M$28,2,FALSE),0)*C$20*12</f>
        <v>1165599.9999999998</v>
      </c>
      <c r="I41" s="19">
        <f>MAX($F41-70,0)*C$21*12</f>
        <v>1344000</v>
      </c>
      <c r="P41" s="2"/>
      <c r="S41" s="4">
        <v>96</v>
      </c>
      <c r="T41" s="10">
        <v>98.68</v>
      </c>
      <c r="U41" s="10">
        <v>99.16</v>
      </c>
    </row>
    <row r="42" spans="6:21" ht="12.75" customHeight="1" x14ac:dyDescent="0.2">
      <c r="F42" s="18">
        <f t="shared" si="2"/>
        <v>99</v>
      </c>
      <c r="G42" s="19">
        <f>($F42-62)*C$19*12</f>
        <v>932400</v>
      </c>
      <c r="H42" s="19">
        <f>MAX($F42-VLOOKUP(C$16,$L$4:$M$28,2,FALSE),0)*C$20*12</f>
        <v>1202799.9999999998</v>
      </c>
      <c r="I42" s="19">
        <f>MAX($F42-70,0)*C$21*12</f>
        <v>1392000</v>
      </c>
      <c r="S42" s="4">
        <v>97</v>
      </c>
      <c r="T42" s="10">
        <v>99.53</v>
      </c>
      <c r="U42" s="10">
        <v>99.96</v>
      </c>
    </row>
    <row r="43" spans="6:21" ht="12.75" customHeight="1" x14ac:dyDescent="0.2">
      <c r="F43" s="18">
        <f t="shared" si="2"/>
        <v>100</v>
      </c>
      <c r="G43" s="19">
        <f>($F43-62)*C$19*12</f>
        <v>957600</v>
      </c>
      <c r="H43" s="19">
        <f>MAX($F43-VLOOKUP(C$16,$L$4:$M$28,2,FALSE),0)*C$20*12</f>
        <v>1239999.9999999998</v>
      </c>
      <c r="I43" s="19">
        <f>MAX($F43-70,0)*C$21*12</f>
        <v>1440000</v>
      </c>
      <c r="S43" s="4">
        <v>98</v>
      </c>
      <c r="T43" s="10">
        <v>100.39</v>
      </c>
      <c r="U43" s="10">
        <v>100.79</v>
      </c>
    </row>
    <row r="44" spans="6:21" ht="12.75" customHeight="1" x14ac:dyDescent="0.2">
      <c r="S44" s="4">
        <v>99</v>
      </c>
      <c r="T44" s="10">
        <v>101.27</v>
      </c>
      <c r="U44" s="10">
        <v>101.63</v>
      </c>
    </row>
    <row r="45" spans="6:21" ht="12.75" customHeight="1" x14ac:dyDescent="0.2">
      <c r="S45" s="4">
        <v>100</v>
      </c>
      <c r="T45" s="10">
        <v>102.15</v>
      </c>
      <c r="U45" s="10">
        <v>102.48</v>
      </c>
    </row>
    <row r="46" spans="6:21" ht="12.75" customHeight="1" x14ac:dyDescent="0.2"/>
  </sheetData>
  <mergeCells count="14">
    <mergeCell ref="B4:D4"/>
    <mergeCell ref="B5:D5"/>
    <mergeCell ref="B6:D7"/>
    <mergeCell ref="B8:D9"/>
    <mergeCell ref="B10:D11"/>
    <mergeCell ref="I3:I4"/>
    <mergeCell ref="B25:B26"/>
    <mergeCell ref="C25:C26"/>
    <mergeCell ref="D25:D26"/>
    <mergeCell ref="B30:B31"/>
    <mergeCell ref="C30:C31"/>
    <mergeCell ref="D30:D31"/>
    <mergeCell ref="G3:G4"/>
    <mergeCell ref="H3:H4"/>
  </mergeCells>
  <conditionalFormatting sqref="G5:I5">
    <cfRule type="top10" dxfId="38" priority="39" rank="1"/>
  </conditionalFormatting>
  <conditionalFormatting sqref="G6:I6">
    <cfRule type="top10" dxfId="37" priority="38" rank="1"/>
  </conditionalFormatting>
  <conditionalFormatting sqref="G7:I7">
    <cfRule type="top10" dxfId="36" priority="37" rank="1"/>
  </conditionalFormatting>
  <conditionalFormatting sqref="G8:I8">
    <cfRule type="top10" dxfId="35" priority="36" rank="1"/>
  </conditionalFormatting>
  <conditionalFormatting sqref="G9:I9">
    <cfRule type="top10" dxfId="34" priority="35" rank="1"/>
  </conditionalFormatting>
  <conditionalFormatting sqref="G10:I10">
    <cfRule type="top10" dxfId="33" priority="34" rank="1"/>
  </conditionalFormatting>
  <conditionalFormatting sqref="G11:I11">
    <cfRule type="top10" dxfId="32" priority="33" rank="1"/>
  </conditionalFormatting>
  <conditionalFormatting sqref="G12:I12">
    <cfRule type="top10" dxfId="31" priority="32" rank="1"/>
  </conditionalFormatting>
  <conditionalFormatting sqref="G13:I13">
    <cfRule type="top10" dxfId="30" priority="31" rank="1"/>
  </conditionalFormatting>
  <conditionalFormatting sqref="G14:I14">
    <cfRule type="top10" dxfId="29" priority="30" rank="1"/>
  </conditionalFormatting>
  <conditionalFormatting sqref="G15:I15">
    <cfRule type="top10" dxfId="28" priority="29" rank="1"/>
  </conditionalFormatting>
  <conditionalFormatting sqref="G16:I16">
    <cfRule type="top10" dxfId="27" priority="28" rank="1"/>
  </conditionalFormatting>
  <conditionalFormatting sqref="G17:I17">
    <cfRule type="top10" dxfId="26" priority="27" rank="1"/>
  </conditionalFormatting>
  <conditionalFormatting sqref="G18:I18">
    <cfRule type="top10" dxfId="25" priority="26" rank="1"/>
  </conditionalFormatting>
  <conditionalFormatting sqref="G19:I19">
    <cfRule type="top10" dxfId="24" priority="25" rank="1"/>
  </conditionalFormatting>
  <conditionalFormatting sqref="G20:I20">
    <cfRule type="top10" dxfId="23" priority="24" rank="1"/>
  </conditionalFormatting>
  <conditionalFormatting sqref="G21:I21">
    <cfRule type="top10" dxfId="22" priority="23" rank="1"/>
  </conditionalFormatting>
  <conditionalFormatting sqref="G22:I22">
    <cfRule type="top10" dxfId="21" priority="22" rank="1"/>
  </conditionalFormatting>
  <conditionalFormatting sqref="G23:I23">
    <cfRule type="top10" dxfId="20" priority="21" rank="1"/>
  </conditionalFormatting>
  <conditionalFormatting sqref="G24:I24">
    <cfRule type="top10" dxfId="19" priority="20" rank="1"/>
  </conditionalFormatting>
  <conditionalFormatting sqref="G25:I25">
    <cfRule type="top10" dxfId="18" priority="19" rank="1"/>
  </conditionalFormatting>
  <conditionalFormatting sqref="G26:I26">
    <cfRule type="top10" dxfId="17" priority="18" rank="1"/>
  </conditionalFormatting>
  <conditionalFormatting sqref="G27:I27">
    <cfRule type="top10" dxfId="16" priority="17" rank="1"/>
  </conditionalFormatting>
  <conditionalFormatting sqref="G28:I28">
    <cfRule type="top10" dxfId="15" priority="16" rank="1"/>
  </conditionalFormatting>
  <conditionalFormatting sqref="G29:I29">
    <cfRule type="top10" dxfId="14" priority="15" rank="1"/>
  </conditionalFormatting>
  <conditionalFormatting sqref="G30:I30">
    <cfRule type="top10" dxfId="13" priority="14" rank="1"/>
  </conditionalFormatting>
  <conditionalFormatting sqref="G31:I31">
    <cfRule type="top10" dxfId="12" priority="13" rank="1"/>
  </conditionalFormatting>
  <conditionalFormatting sqref="G32:I32">
    <cfRule type="top10" dxfId="11" priority="12" rank="1"/>
  </conditionalFormatting>
  <conditionalFormatting sqref="G33:I33">
    <cfRule type="top10" dxfId="10" priority="11" rank="1"/>
  </conditionalFormatting>
  <conditionalFormatting sqref="G34:I34">
    <cfRule type="top10" dxfId="9" priority="10" rank="1"/>
  </conditionalFormatting>
  <conditionalFormatting sqref="G35:I35">
    <cfRule type="top10" dxfId="8" priority="9" rank="1"/>
  </conditionalFormatting>
  <conditionalFormatting sqref="G36:I36">
    <cfRule type="top10" dxfId="7" priority="8" rank="1"/>
  </conditionalFormatting>
  <conditionalFormatting sqref="G37:I37">
    <cfRule type="top10" dxfId="6" priority="7" rank="1"/>
  </conditionalFormatting>
  <conditionalFormatting sqref="G38:I38">
    <cfRule type="top10" dxfId="5" priority="6" rank="1"/>
  </conditionalFormatting>
  <conditionalFormatting sqref="G39:I39">
    <cfRule type="top10" dxfId="4" priority="5" rank="1"/>
  </conditionalFormatting>
  <conditionalFormatting sqref="G40:I40">
    <cfRule type="top10" dxfId="3" priority="4" rank="1"/>
  </conditionalFormatting>
  <conditionalFormatting sqref="G41:I41">
    <cfRule type="top10" dxfId="2" priority="3" rank="1"/>
  </conditionalFormatting>
  <conditionalFormatting sqref="G42:I42">
    <cfRule type="top10" dxfId="1" priority="2" rank="1"/>
  </conditionalFormatting>
  <conditionalFormatting sqref="G43:I43">
    <cfRule type="top10" dxfId="0" priority="1" rank="1"/>
  </conditionalFormatting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Fradelakis</dc:creator>
  <cp:lastModifiedBy>Paul Fradelakis</cp:lastModifiedBy>
  <cp:lastPrinted>2019-05-23T17:33:21Z</cp:lastPrinted>
  <dcterms:created xsi:type="dcterms:W3CDTF">2017-11-27T17:43:07Z</dcterms:created>
  <dcterms:modified xsi:type="dcterms:W3CDTF">2020-01-13T04:14:52Z</dcterms:modified>
</cp:coreProperties>
</file>